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64836" windowWidth="22680" windowHeight="16760" tabRatio="167" activeTab="0"/>
  </bookViews>
  <sheets>
    <sheet name="Sheet1" sheetId="1" r:id="rId1"/>
    <sheet name="Sheet2" sheetId="2" r:id="rId2"/>
    <sheet name="Sheet3" sheetId="3" r:id="rId3"/>
  </sheets>
  <definedNames>
    <definedName name="ACCEL">'Sheet1'!$N$17</definedName>
    <definedName name="AMIRALITY">'Sheet1'!$N$11</definedName>
    <definedName name="BARGE_LABOR">IF('Sheet1'!$C$3="Yes",0.5,1)</definedName>
    <definedName name="BARGE_QUALITY">IF('Sheet1'!$C$3="Yes",0.5,1)</definedName>
    <definedName name="BARGE_SPEED">IF('Sheet1'!$C$3="Yes",0.5,1)</definedName>
    <definedName name="BEAM">'Sheet1'!$C$7</definedName>
    <definedName name="BLOCK">'Sheet1'!$N$7</definedName>
    <definedName name="BLOCK_TWEAK">IF('Sheet1'!$C$3="Yes",'Sheet1'!$N$7^0.25,'Sheet1'!$N$7)</definedName>
    <definedName name="BOAT_LABOR">IF('Sheet1'!$C$4="Yes",0.5,1)</definedName>
    <definedName name="BOAT_MATERIAL">IF('Sheet1'!$C$4="Yes",0.5,1)</definedName>
    <definedName name="BOAT_OARS">IF('Sheet1'!$C$4="Yes",0.5,1)</definedName>
    <definedName name="BOAT_QUALITY">IF('Sheet1'!$C$4="Yes",0.75,1)</definedName>
    <definedName name="BOAT_SAIL">IF('Sheet1'!$C$4="Yes",0.5,1)</definedName>
    <definedName name="BOAT_SEAWORTHY">IF('Sheet1'!$C$4="Yes",0.5,1)</definedName>
    <definedName name="BS">'Sheet1'!$P$15</definedName>
    <definedName name="CARGO">'Sheet1'!$I$26</definedName>
    <definedName name="CARPENTER">'Sheet1'!$N$19</definedName>
    <definedName name="CONSTRUCT">'Sheet1'!$N$23</definedName>
    <definedName name="DEPTH">'Sheet1'!$C$8</definedName>
    <definedName name="DISP">'Sheet1'!$F$2</definedName>
    <definedName name="DRAFT">'Sheet1'!$C$10</definedName>
    <definedName name="LENGTH">'Sheet1'!$C$6</definedName>
    <definedName name="MPH">'Sheet1'!$N$21</definedName>
    <definedName name="OAR">'Sheet1'!$N$15</definedName>
    <definedName name="SHIP_QUALITY">IF('Sheet1'!$C$2="Yes",1,0.75)</definedName>
    <definedName name="SHIPWRIGHT">'Sheet1'!#REF!</definedName>
    <definedName name="SL">'Sheet1'!$F$4</definedName>
    <definedName name="SPEED">'Sheet1'!$N$9</definedName>
    <definedName name="WARSHIP">'Sheet1'!$C$2</definedName>
    <definedName name="WARSHIP_LABOR">IF('Sheet1'!$C$2="Yes",1.25,1)</definedName>
    <definedName name="WARSHIP_MATERIAL">IF('Sheet1'!$C$2="Yes",1.5,1)</definedName>
    <definedName name="WIND">'Sheet1'!$N$13</definedName>
    <definedName name="WS">'Sheet1'!$P$13</definedName>
  </definedNames>
  <calcPr fullCalcOnLoad="1"/>
</workbook>
</file>

<file path=xl/comments1.xml><?xml version="1.0" encoding="utf-8"?>
<comments xmlns="http://schemas.openxmlformats.org/spreadsheetml/2006/main">
  <authors>
    <author>Burton Choinski</author>
  </authors>
  <commentList>
    <comment ref="B2" authorId="0">
      <text>
        <r>
          <rPr>
            <b/>
            <sz val="9"/>
            <rFont val="Verdana"/>
            <family val="0"/>
          </rPr>
          <t xml:space="preserve">A ship classified as a warship is built more sturdily and thus can take more punishement.  </t>
        </r>
      </text>
    </comment>
    <comment ref="B3" authorId="0">
      <text>
        <r>
          <rPr>
            <b/>
            <sz val="9"/>
            <rFont val="Verdana"/>
            <family val="0"/>
          </rPr>
          <t>Barges have hull forms that are more box like and flat bottomed.  This gives them a higher cargo capacity, but their seaworthiness is greatly reduced.  Usually only used on inland waterways.</t>
        </r>
        <r>
          <rPr>
            <sz val="9"/>
            <rFont val="Verdana"/>
            <family val="0"/>
          </rPr>
          <t xml:space="preserve">
</t>
        </r>
      </text>
    </comment>
    <comment ref="B4" authorId="0">
      <text>
        <r>
          <rPr>
            <b/>
            <sz val="9"/>
            <rFont val="Verdana"/>
            <family val="0"/>
          </rPr>
          <t>Boats are lightly constructed craft designed to be carried by other ships in ship-to-shore purposes.  Boats may not be made longer than 25'.</t>
        </r>
        <r>
          <rPr>
            <sz val="9"/>
            <rFont val="Verdana"/>
            <family val="0"/>
          </rPr>
          <t xml:space="preserve">
</t>
        </r>
      </text>
    </comment>
    <comment ref="B24" authorId="0">
      <text>
        <r>
          <rPr>
            <b/>
            <sz val="9"/>
            <rFont val="Verdana"/>
            <family val="0"/>
          </rPr>
          <t>The amount of sails is limited to how much the ship will heel over from the wind -- too much sail could capsize the ship.  In general, perilous lands ships are limite dto x10 ins sail area/displacement.  Fomorian ship design is slightly more advanced and can handle up to x15.</t>
        </r>
        <r>
          <rPr>
            <sz val="9"/>
            <rFont val="Verdana"/>
            <family val="0"/>
          </rPr>
          <t xml:space="preserve">
</t>
        </r>
      </text>
    </comment>
    <comment ref="C22" authorId="0">
      <text>
        <r>
          <rPr>
            <b/>
            <sz val="9"/>
            <rFont val="Verdana"/>
            <family val="0"/>
          </rPr>
          <t>If sailed speed is greater than the maximum hull speed, you should reduce sail area unless you desire improved speeds under low-wind conditions.</t>
        </r>
      </text>
    </comment>
    <comment ref="C28" authorId="0">
      <text>
        <r>
          <rPr>
            <b/>
            <sz val="9"/>
            <rFont val="Verdana"/>
            <family val="0"/>
          </rPr>
          <t>If rowed speed is greater than the maximum hull speed, you should reduce the number of rowers.  It's generally not possible to exceed max hull speed.</t>
        </r>
      </text>
    </comment>
  </commentList>
</comments>
</file>

<file path=xl/sharedStrings.xml><?xml version="1.0" encoding="utf-8"?>
<sst xmlns="http://schemas.openxmlformats.org/spreadsheetml/2006/main" count="116" uniqueCount="112">
  <si>
    <t>N</t>
  </si>
  <si>
    <t>O</t>
  </si>
  <si>
    <t>P</t>
  </si>
  <si>
    <t>Q</t>
  </si>
  <si>
    <t>R</t>
  </si>
  <si>
    <t>Use total displacement space of any carried boats</t>
  </si>
  <si>
    <t>S</t>
  </si>
  <si>
    <t>T</t>
  </si>
  <si>
    <t>Yes</t>
  </si>
  <si>
    <t>No</t>
  </si>
  <si>
    <t>Metric Convert</t>
  </si>
  <si>
    <t>Raw Time</t>
  </si>
  <si>
    <t>Raw Cost</t>
  </si>
  <si>
    <t>Build Time</t>
  </si>
  <si>
    <t>Final Cost</t>
  </si>
  <si>
    <t>Powers &amp; Perils Master Shipwright</t>
  </si>
  <si>
    <t>Length</t>
  </si>
  <si>
    <t>Beam</t>
  </si>
  <si>
    <t>Freeboard</t>
  </si>
  <si>
    <t>Depth</t>
  </si>
  <si>
    <t>Speed</t>
  </si>
  <si>
    <t>Time</t>
  </si>
  <si>
    <t>Cost</t>
  </si>
  <si>
    <t>Component</t>
  </si>
  <si>
    <t>Count</t>
  </si>
  <si>
    <t>Size</t>
  </si>
  <si>
    <t>(1.2 to 1.45)</t>
  </si>
  <si>
    <t>(2 to 36)</t>
  </si>
  <si>
    <t>Structure</t>
  </si>
  <si>
    <t>Boats</t>
  </si>
  <si>
    <t>Max Hull Speed</t>
  </si>
  <si>
    <t>Displacement</t>
  </si>
  <si>
    <t>Anchors</t>
  </si>
  <si>
    <t>Ram (size)</t>
  </si>
  <si>
    <t>Wind</t>
  </si>
  <si>
    <t>Hp/Sq Foot</t>
  </si>
  <si>
    <t>Normal</t>
  </si>
  <si>
    <t>7-10</t>
  </si>
  <si>
    <t>force 3</t>
  </si>
  <si>
    <t>force 4</t>
  </si>
  <si>
    <t>force 5</t>
  </si>
  <si>
    <t>force 6</t>
  </si>
  <si>
    <t>11-16</t>
  </si>
  <si>
    <t>17-21</t>
  </si>
  <si>
    <t>22-27</t>
  </si>
  <si>
    <t>Meters</t>
  </si>
  <si>
    <t>Feet</t>
  </si>
  <si>
    <t>Block Coefficient</t>
  </si>
  <si>
    <t>Capacity</t>
  </si>
  <si>
    <t>Speed Factor</t>
  </si>
  <si>
    <t>Admirality Const</t>
  </si>
  <si>
    <t>Rigging</t>
  </si>
  <si>
    <t>Wind HP Mod</t>
  </si>
  <si>
    <t xml:space="preserve">     Rowers</t>
  </si>
  <si>
    <t xml:space="preserve">     Sailors</t>
  </si>
  <si>
    <t>Other Crew</t>
  </si>
  <si>
    <t>Cargo</t>
  </si>
  <si>
    <t>Horse Berths</t>
  </si>
  <si>
    <t>Provisions</t>
  </si>
  <si>
    <t xml:space="preserve">     Sails</t>
  </si>
  <si>
    <t xml:space="preserve">     Masts &amp; Spars</t>
  </si>
  <si>
    <t>Oars</t>
  </si>
  <si>
    <t>Oar HP Mod</t>
  </si>
  <si>
    <t xml:space="preserve">     Bank</t>
  </si>
  <si>
    <t>Slave Bunks</t>
  </si>
  <si>
    <t>Marine Bunks</t>
  </si>
  <si>
    <t>Acceleration</t>
  </si>
  <si>
    <t>Accell Mod</t>
  </si>
  <si>
    <t>Carpenter Pay/month</t>
  </si>
  <si>
    <t>MPH</t>
  </si>
  <si>
    <t xml:space="preserve">     Sail Area/Disp</t>
  </si>
  <si>
    <t xml:space="preserve">     Disp/Length</t>
  </si>
  <si>
    <t xml:space="preserve">     Speed/Length</t>
  </si>
  <si>
    <t>Warship?</t>
  </si>
  <si>
    <t>Marines</t>
  </si>
  <si>
    <t>Available Burden</t>
  </si>
  <si>
    <t>Crew Quarters</t>
  </si>
  <si>
    <t>Rowing Positions</t>
  </si>
  <si>
    <t>Cabin Spaces</t>
  </si>
  <si>
    <t>Fine Cabin Spaces</t>
  </si>
  <si>
    <t>Spares (storerooms)</t>
  </si>
  <si>
    <t>I</t>
  </si>
  <si>
    <t>B</t>
  </si>
  <si>
    <t>C</t>
  </si>
  <si>
    <t>E</t>
  </si>
  <si>
    <t>F</t>
  </si>
  <si>
    <t>G</t>
  </si>
  <si>
    <t>H</t>
  </si>
  <si>
    <t>J</t>
  </si>
  <si>
    <t>K</t>
  </si>
  <si>
    <t>L</t>
  </si>
  <si>
    <t>M</t>
  </si>
  <si>
    <t>Barge?</t>
  </si>
  <si>
    <t>D2</t>
  </si>
  <si>
    <t>Seaworthiness</t>
  </si>
  <si>
    <t>A1</t>
  </si>
  <si>
    <t>A2</t>
  </si>
  <si>
    <t>A3</t>
  </si>
  <si>
    <t>D1</t>
  </si>
  <si>
    <t xml:space="preserve">Base Labor </t>
  </si>
  <si>
    <t>Base Materials</t>
  </si>
  <si>
    <t>Const Time/Ton</t>
  </si>
  <si>
    <t>Rev 1.6</t>
  </si>
  <si>
    <t>Use 1/2 the rower value if paddling</t>
  </si>
  <si>
    <t>1.0 to 1.1 for boats</t>
  </si>
  <si>
    <t>Boat?</t>
  </si>
  <si>
    <t>Toughness</t>
  </si>
  <si>
    <t>Double for 24 hour travel</t>
  </si>
  <si>
    <t>Warship Struct</t>
  </si>
  <si>
    <t>Boat Struct</t>
  </si>
  <si>
    <t>0.62, use 0.75 for wide stern</t>
  </si>
  <si>
    <t>Shipyard Mod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</si>
</sst>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c\f"/>
    <numFmt numFmtId="165" formatCode="0\'"/>
    <numFmt numFmtId="166" formatCode="#,##0\ \d\a\y\s"/>
    <numFmt numFmtId="167" formatCode="#,##0\ \C\C"/>
    <numFmt numFmtId="168" formatCode="0.0\'"/>
    <numFmt numFmtId="169" formatCode="0.0"/>
    <numFmt numFmtId="170" formatCode="0\ \a\v\e"/>
    <numFmt numFmtId="171" formatCode="#,##0\ \d"/>
    <numFmt numFmtId="172" formatCode="0\ \m\a\n\-\d\a\y\s"/>
    <numFmt numFmtId="173" formatCode="\M\R0"/>
    <numFmt numFmtId="174" formatCode="\D\F\ \x0.##"/>
    <numFmt numFmtId="175" formatCode="0.#\'"/>
    <numFmt numFmtId="176" formatCode="0.#"/>
    <numFmt numFmtId="177" formatCode="0.00\ \t"/>
    <numFmt numFmtId="178" formatCode="m/d/yyyy"/>
    <numFmt numFmtId="179" formatCode="\x0.00"/>
    <numFmt numFmtId="180" formatCode="0.00\ \m"/>
    <numFmt numFmtId="181" formatCode="0.000000000000"/>
    <numFmt numFmtId="182" formatCode="\x0.000"/>
    <numFmt numFmtId="183" formatCode="0\ \p\h\a\s\e\s"/>
    <numFmt numFmtId="184" formatCode="\(\ 0\ \d\a\y\s\ \)"/>
    <numFmt numFmtId="185" formatCode="0\ \S\q\f\ \S\a\i\l"/>
    <numFmt numFmtId="186" formatCode="0.00\ \H\p"/>
    <numFmt numFmtId="187" formatCode="0.0000000000000"/>
    <numFmt numFmtId="188" formatCode="0\?"/>
    <numFmt numFmtId="189" formatCode="0\ \S\q\f"/>
    <numFmt numFmtId="190" formatCode="0.0\ \M\P\H"/>
    <numFmt numFmtId="191" formatCode="\x0"/>
    <numFmt numFmtId="192" formatCode="0.0\ \P\M\R"/>
    <numFmt numFmtId="193" formatCode="0.0\'\ \f\r\e\e\b\o\a\r\d"/>
    <numFmt numFmtId="194" formatCode="0.0\'\ \d\r\a\f\t"/>
    <numFmt numFmtId="195" formatCode="\~0.0\'\ "/>
    <numFmt numFmtId="196" formatCode="0.00\ \o\f\ \l\e\n\g\t\h"/>
    <numFmt numFmtId="197" formatCode="0.00\ \o\f\ \b\e\a\m"/>
    <numFmt numFmtId="198" formatCode="0.00\ \h\e\x"/>
    <numFmt numFmtId="199" formatCode="0.00\ \t\u\r\n\s"/>
  </numFmts>
  <fonts count="2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36"/>
      <name val="Papyrus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i/>
      <sz val="8"/>
      <name val="Verdana"/>
      <family val="0"/>
    </font>
    <font>
      <b/>
      <sz val="12"/>
      <name val="Verdana"/>
      <family val="0"/>
    </font>
    <font>
      <b/>
      <sz val="10"/>
      <color indexed="48"/>
      <name val="Verdana"/>
      <family val="0"/>
    </font>
    <font>
      <b/>
      <i/>
      <sz val="8"/>
      <name val="Verdana"/>
      <family val="0"/>
    </font>
    <font>
      <b/>
      <sz val="10"/>
      <color indexed="17"/>
      <name val="Verdana"/>
      <family val="0"/>
    </font>
    <font>
      <i/>
      <sz val="8"/>
      <color indexed="55"/>
      <name val="Verdana"/>
      <family val="0"/>
    </font>
    <font>
      <b/>
      <sz val="10"/>
      <color indexed="62"/>
      <name val="Verdana"/>
      <family val="0"/>
    </font>
    <font>
      <b/>
      <i/>
      <sz val="8"/>
      <color indexed="62"/>
      <name val="Verdana"/>
      <family val="0"/>
    </font>
    <font>
      <b/>
      <sz val="10"/>
      <color indexed="16"/>
      <name val="Verdana"/>
      <family val="0"/>
    </font>
    <font>
      <b/>
      <sz val="8"/>
      <name val="Verdana"/>
      <family val="0"/>
    </font>
    <font>
      <i/>
      <sz val="8"/>
      <color indexed="21"/>
      <name val="Verdana"/>
      <family val="0"/>
    </font>
    <font>
      <b/>
      <sz val="10"/>
      <color indexed="58"/>
      <name val="Verdana"/>
      <family val="0"/>
    </font>
    <font>
      <b/>
      <i/>
      <sz val="9"/>
      <color indexed="10"/>
      <name val="Verdana"/>
      <family val="0"/>
    </font>
    <font>
      <b/>
      <sz val="10"/>
      <color indexed="53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i/>
      <sz val="9"/>
      <name val="Verdana"/>
      <family val="0"/>
    </font>
    <font>
      <i/>
      <sz val="10"/>
      <color indexed="48"/>
      <name val="Verdana"/>
      <family val="0"/>
    </font>
    <font>
      <i/>
      <sz val="6"/>
      <color indexed="22"/>
      <name val="Verdana"/>
      <family val="0"/>
    </font>
    <font>
      <vertAlign val="superscript"/>
      <sz val="10"/>
      <name val="Verdana"/>
      <family val="0"/>
    </font>
    <font>
      <i/>
      <sz val="9"/>
      <color indexed="55"/>
      <name val="Verdana"/>
      <family val="0"/>
    </font>
  </fonts>
  <fills count="7">
    <fill>
      <patternFill/>
    </fill>
    <fill>
      <patternFill patternType="gray125"/>
    </fill>
    <fill>
      <patternFill patternType="mediumGray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71" fontId="10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Alignment="1">
      <alignment horizontal="center"/>
    </xf>
    <xf numFmtId="171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177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179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77" fontId="1" fillId="0" borderId="0" xfId="0" applyNumberFormat="1" applyFont="1" applyAlignment="1">
      <alignment/>
    </xf>
    <xf numFmtId="0" fontId="0" fillId="0" borderId="0" xfId="0" applyAlignment="1" quotePrefix="1">
      <alignment/>
    </xf>
    <xf numFmtId="182" fontId="0" fillId="2" borderId="0" xfId="0" applyNumberFormat="1" applyFill="1" applyAlignment="1">
      <alignment horizontal="center"/>
    </xf>
    <xf numFmtId="168" fontId="0" fillId="3" borderId="1" xfId="0" applyNumberFormat="1" applyFill="1" applyBorder="1" applyAlignment="1">
      <alignment horizontal="center"/>
    </xf>
    <xf numFmtId="189" fontId="0" fillId="4" borderId="1" xfId="0" applyNumberFormat="1" applyFill="1" applyBorder="1" applyAlignment="1">
      <alignment horizontal="center"/>
    </xf>
    <xf numFmtId="190" fontId="15" fillId="0" borderId="0" xfId="0" applyNumberFormat="1" applyFont="1" applyAlignment="1">
      <alignment horizontal="center"/>
    </xf>
    <xf numFmtId="0" fontId="0" fillId="4" borderId="1" xfId="0" applyFill="1" applyBorder="1" applyAlignment="1">
      <alignment horizontal="center"/>
    </xf>
    <xf numFmtId="0" fontId="13" fillId="0" borderId="0" xfId="0" applyFont="1" applyAlignment="1">
      <alignment/>
    </xf>
    <xf numFmtId="0" fontId="0" fillId="4" borderId="1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167" fontId="16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180" fontId="7" fillId="5" borderId="2" xfId="0" applyNumberFormat="1" applyFont="1" applyFill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191" fontId="17" fillId="0" borderId="0" xfId="0" applyNumberFormat="1" applyFont="1" applyAlignment="1">
      <alignment horizontal="center"/>
    </xf>
    <xf numFmtId="179" fontId="17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86" fontId="18" fillId="0" borderId="0" xfId="0" applyNumberFormat="1" applyFont="1" applyAlignment="1">
      <alignment/>
    </xf>
    <xf numFmtId="177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71" fontId="19" fillId="0" borderId="0" xfId="0" applyNumberFormat="1" applyFont="1" applyAlignment="1">
      <alignment horizontal="center"/>
    </xf>
    <xf numFmtId="167" fontId="16" fillId="0" borderId="0" xfId="0" applyNumberFormat="1" applyFont="1" applyAlignment="1">
      <alignment/>
    </xf>
    <xf numFmtId="171" fontId="19" fillId="0" borderId="0" xfId="0" applyNumberFormat="1" applyFont="1" applyAlignment="1">
      <alignment/>
    </xf>
    <xf numFmtId="171" fontId="19" fillId="0" borderId="7" xfId="0" applyNumberFormat="1" applyFont="1" applyBorder="1" applyAlignment="1">
      <alignment/>
    </xf>
    <xf numFmtId="167" fontId="16" fillId="0" borderId="8" xfId="0" applyNumberFormat="1" applyFont="1" applyBorder="1" applyAlignment="1">
      <alignment/>
    </xf>
    <xf numFmtId="171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0" fillId="2" borderId="0" xfId="0" applyNumberFormat="1" applyFill="1" applyAlignment="1">
      <alignment horizontal="center"/>
    </xf>
    <xf numFmtId="177" fontId="0" fillId="4" borderId="1" xfId="0" applyNumberForma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0" fontId="20" fillId="0" borderId="0" xfId="0" applyFont="1" applyAlignment="1">
      <alignment/>
    </xf>
    <xf numFmtId="193" fontId="8" fillId="0" borderId="0" xfId="0" applyNumberFormat="1" applyFont="1" applyFill="1" applyBorder="1" applyAlignment="1">
      <alignment horizontal="center"/>
    </xf>
    <xf numFmtId="194" fontId="8" fillId="0" borderId="0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77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167" fontId="0" fillId="0" borderId="6" xfId="0" applyNumberFormat="1" applyBorder="1" applyAlignment="1">
      <alignment/>
    </xf>
    <xf numFmtId="0" fontId="21" fillId="0" borderId="0" xfId="0" applyFont="1" applyFill="1" applyAlignment="1">
      <alignment horizontal="center"/>
    </xf>
    <xf numFmtId="195" fontId="13" fillId="0" borderId="0" xfId="0" applyNumberFormat="1" applyFont="1" applyAlignment="1">
      <alignment horizontal="left"/>
    </xf>
    <xf numFmtId="196" fontId="13" fillId="0" borderId="0" xfId="0" applyNumberFormat="1" applyFont="1" applyAlignment="1">
      <alignment horizontal="left"/>
    </xf>
    <xf numFmtId="0" fontId="1" fillId="0" borderId="9" xfId="0" applyFont="1" applyFill="1" applyBorder="1" applyAlignment="1">
      <alignment/>
    </xf>
    <xf numFmtId="177" fontId="0" fillId="0" borderId="10" xfId="0" applyNumberFormat="1" applyBorder="1" applyAlignment="1">
      <alignment horizontal="center"/>
    </xf>
    <xf numFmtId="0" fontId="17" fillId="0" borderId="11" xfId="0" applyFont="1" applyFill="1" applyBorder="1" applyAlignment="1">
      <alignment/>
    </xf>
    <xf numFmtId="182" fontId="7" fillId="0" borderId="12" xfId="0" applyNumberFormat="1" applyFont="1" applyBorder="1" applyAlignment="1">
      <alignment horizontal="center"/>
    </xf>
    <xf numFmtId="179" fontId="7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90" fontId="14" fillId="0" borderId="14" xfId="0" applyNumberFormat="1" applyFont="1" applyBorder="1" applyAlignment="1">
      <alignment horizontal="center"/>
    </xf>
    <xf numFmtId="197" fontId="13" fillId="0" borderId="0" xfId="0" applyNumberFormat="1" applyFont="1" applyAlignment="1">
      <alignment horizontal="left"/>
    </xf>
    <xf numFmtId="167" fontId="24" fillId="0" borderId="0" xfId="0" applyNumberFormat="1" applyFont="1" applyAlignment="1">
      <alignment horizontal="right"/>
    </xf>
    <xf numFmtId="171" fontId="24" fillId="0" borderId="0" xfId="0" applyNumberFormat="1" applyFont="1" applyFill="1" applyAlignment="1">
      <alignment/>
    </xf>
    <xf numFmtId="167" fontId="25" fillId="0" borderId="0" xfId="0" applyNumberFormat="1" applyFont="1" applyFill="1" applyAlignment="1">
      <alignment horizontal="right"/>
    </xf>
    <xf numFmtId="0" fontId="0" fillId="0" borderId="3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73" fontId="12" fillId="0" borderId="0" xfId="0" applyNumberFormat="1" applyFont="1" applyBorder="1" applyAlignment="1">
      <alignment horizontal="center"/>
    </xf>
    <xf numFmtId="192" fontId="13" fillId="0" borderId="0" xfId="0" applyNumberFormat="1" applyFont="1" applyBorder="1" applyAlignment="1">
      <alignment horizontal="left"/>
    </xf>
    <xf numFmtId="183" fontId="7" fillId="0" borderId="17" xfId="0" applyNumberFormat="1" applyFont="1" applyBorder="1" applyAlignment="1">
      <alignment horizontal="center"/>
    </xf>
    <xf numFmtId="0" fontId="17" fillId="0" borderId="16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7" fillId="0" borderId="0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9" fillId="0" borderId="17" xfId="0" applyFont="1" applyBorder="1" applyAlignment="1">
      <alignment horizontal="center"/>
    </xf>
    <xf numFmtId="177" fontId="10" fillId="0" borderId="17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177" fontId="1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6" fillId="0" borderId="0" xfId="0" applyFont="1" applyAlignment="1">
      <alignment/>
    </xf>
    <xf numFmtId="190" fontId="28" fillId="0" borderId="0" xfId="0" applyNumberFormat="1" applyFont="1" applyAlignment="1">
      <alignment/>
    </xf>
    <xf numFmtId="198" fontId="2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DD0806"/>
      </font>
      <border/>
    </dxf>
    <dxf>
      <fill>
        <patternFill>
          <bgColor rgb="FFFF99CC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Sheet2!$A$2:$A$6</c:f>
              <c:numCache>
                <c:ptCount val="5"/>
                <c:pt idx="0">
                  <c:v>5</c:v>
                </c:pt>
                <c:pt idx="1">
                  <c:v>15</c:v>
                </c:pt>
                <c:pt idx="2">
                  <c:v>30</c:v>
                </c:pt>
              </c:numCache>
            </c:numRef>
          </c:xVal>
          <c:yVal>
            <c:numRef>
              <c:f>Sheet2!$B$2:$B$6</c:f>
              <c:numCache>
                <c:ptCount val="5"/>
                <c:pt idx="0">
                  <c:v>3</c:v>
                </c:pt>
                <c:pt idx="1">
                  <c:v>5</c:v>
                </c:pt>
                <c:pt idx="2">
                  <c:v>7</c:v>
                </c:pt>
              </c:numCache>
            </c:numRef>
          </c:yVal>
          <c:smooth val="0"/>
        </c:ser>
        <c:axId val="33039276"/>
        <c:axId val="28918029"/>
      </c:scatterChart>
      <c:valAx>
        <c:axId val="3303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18029"/>
        <c:crosses val="autoZero"/>
        <c:crossBetween val="midCat"/>
        <c:dispUnits/>
      </c:valAx>
      <c:valAx>
        <c:axId val="28918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392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12</xdr:row>
      <xdr:rowOff>9525</xdr:rowOff>
    </xdr:from>
    <xdr:to>
      <xdr:col>8</xdr:col>
      <xdr:colOff>323850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362200" y="1952625"/>
        <a:ext cx="47339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="125" zoomScaleNormal="125" workbookViewId="0" topLeftCell="A1">
      <selection activeCell="K29" sqref="K29"/>
    </sheetView>
  </sheetViews>
  <sheetFormatPr defaultColWidth="11.00390625" defaultRowHeight="12.75"/>
  <cols>
    <col min="1" max="1" width="3.375" style="62" customWidth="1"/>
    <col min="2" max="2" width="17.375" style="0" customWidth="1"/>
    <col min="3" max="3" width="11.875" style="0" bestFit="1" customWidth="1"/>
    <col min="5" max="5" width="13.375" style="0" customWidth="1"/>
    <col min="6" max="6" width="11.625" style="0" customWidth="1"/>
    <col min="7" max="7" width="11.00390625" style="0" customWidth="1"/>
    <col min="8" max="10" width="10.625" style="0" customWidth="1"/>
    <col min="11" max="11" width="11.375" style="0" customWidth="1"/>
    <col min="12" max="15" width="11.00390625" style="0" customWidth="1"/>
    <col min="16" max="16" width="13.625" style="0" customWidth="1"/>
  </cols>
  <sheetData>
    <row r="1" spans="2:10" ht="60">
      <c r="B1" s="1" t="s">
        <v>15</v>
      </c>
      <c r="J1" t="s">
        <v>102</v>
      </c>
    </row>
    <row r="2" spans="1:20" ht="12.75" customHeight="1">
      <c r="A2" s="63" t="s">
        <v>95</v>
      </c>
      <c r="B2" s="61" t="s">
        <v>73</v>
      </c>
      <c r="C2" s="60" t="s">
        <v>9</v>
      </c>
      <c r="E2" s="72" t="s">
        <v>31</v>
      </c>
      <c r="F2" s="73">
        <f>LENGTH*BEAM*DRAFT*BLOCK_TWEAK/35</f>
        <v>25.50857142857143</v>
      </c>
      <c r="I2" s="8" t="s">
        <v>11</v>
      </c>
      <c r="J2" s="8" t="s">
        <v>12</v>
      </c>
      <c r="N2" s="36" t="s">
        <v>10</v>
      </c>
      <c r="P2" t="s">
        <v>8</v>
      </c>
      <c r="S2" t="s">
        <v>34</v>
      </c>
      <c r="T2" t="s">
        <v>35</v>
      </c>
    </row>
    <row r="3" spans="1:20" ht="12.75" customHeight="1">
      <c r="A3" s="63" t="s">
        <v>96</v>
      </c>
      <c r="B3" s="61" t="s">
        <v>92</v>
      </c>
      <c r="C3" s="60" t="s">
        <v>9</v>
      </c>
      <c r="D3" s="67"/>
      <c r="E3" s="74" t="s">
        <v>71</v>
      </c>
      <c r="F3" s="75">
        <f>DISP/(LENGTH*0.01)^3</f>
        <v>944.7619047619048</v>
      </c>
      <c r="I3" s="49">
        <f>C13+E55</f>
        <v>1072.6034285714286</v>
      </c>
      <c r="J3" s="48">
        <f>D13+F55+D12</f>
        <v>1405.3859523809524</v>
      </c>
      <c r="N3" s="37">
        <v>5</v>
      </c>
      <c r="P3" t="s">
        <v>9</v>
      </c>
      <c r="R3" t="s">
        <v>38</v>
      </c>
      <c r="S3" s="26" t="s">
        <v>37</v>
      </c>
      <c r="T3">
        <v>0.015</v>
      </c>
    </row>
    <row r="4" spans="1:21" ht="12.75" customHeight="1">
      <c r="A4" s="63" t="s">
        <v>97</v>
      </c>
      <c r="B4" s="61" t="s">
        <v>105</v>
      </c>
      <c r="C4" s="60" t="s">
        <v>9</v>
      </c>
      <c r="D4" s="67"/>
      <c r="E4" s="74" t="s">
        <v>72</v>
      </c>
      <c r="F4" s="76">
        <f>SPEED/F3^0.311</f>
        <v>0.9809678841952961</v>
      </c>
      <c r="N4" s="38">
        <f>INT(N3*3.25*IF(N3&lt;=2,2,1)+0.9)/IF(N3&lt;=2,2,1)</f>
        <v>17</v>
      </c>
      <c r="R4" t="s">
        <v>39</v>
      </c>
      <c r="S4" s="26" t="s">
        <v>42</v>
      </c>
      <c r="T4">
        <v>0.02</v>
      </c>
      <c r="U4" t="s">
        <v>36</v>
      </c>
    </row>
    <row r="5" spans="1:19" ht="12.75" customHeight="1">
      <c r="A5" s="69"/>
      <c r="B5" s="61"/>
      <c r="E5" s="77" t="s">
        <v>30</v>
      </c>
      <c r="F5" s="78">
        <f>SQRT(LENGTH)*F4*MPH*BARGE_SPEED</f>
        <v>6.175841820251485</v>
      </c>
      <c r="I5" s="104" t="s">
        <v>111</v>
      </c>
      <c r="J5" s="104"/>
      <c r="S5" s="26"/>
    </row>
    <row r="6" spans="1:19" ht="12.75">
      <c r="A6" s="63" t="s">
        <v>82</v>
      </c>
      <c r="B6" s="3" t="s">
        <v>16</v>
      </c>
      <c r="C6" s="28">
        <v>30</v>
      </c>
      <c r="D6" s="21"/>
      <c r="H6" s="41" t="s">
        <v>25</v>
      </c>
      <c r="I6" s="39">
        <v>10</v>
      </c>
      <c r="J6" s="2" t="s">
        <v>27</v>
      </c>
      <c r="N6" s="24" t="s">
        <v>47</v>
      </c>
      <c r="S6" s="26"/>
    </row>
    <row r="7" spans="1:20" ht="12.75">
      <c r="A7" s="63" t="s">
        <v>83</v>
      </c>
      <c r="B7" s="3" t="s">
        <v>17</v>
      </c>
      <c r="C7" s="28">
        <v>12</v>
      </c>
      <c r="D7" s="71">
        <f>INT(C7/C6*20+0.9)/20</f>
        <v>0.4</v>
      </c>
      <c r="H7" s="41" t="s">
        <v>22</v>
      </c>
      <c r="I7" s="40">
        <v>1</v>
      </c>
      <c r="J7" s="2" t="s">
        <v>26</v>
      </c>
      <c r="K7" s="32" t="s">
        <v>104</v>
      </c>
      <c r="N7" s="27">
        <v>0.62</v>
      </c>
      <c r="O7" s="67" t="s">
        <v>110</v>
      </c>
      <c r="R7" t="s">
        <v>40</v>
      </c>
      <c r="S7" s="26" t="s">
        <v>43</v>
      </c>
      <c r="T7">
        <v>0.04</v>
      </c>
    </row>
    <row r="8" spans="1:20" ht="13.5" thickBot="1">
      <c r="A8" s="63" t="s">
        <v>98</v>
      </c>
      <c r="B8" s="3" t="s">
        <v>19</v>
      </c>
      <c r="C8" s="28">
        <v>6</v>
      </c>
      <c r="D8" s="79">
        <f>INT(C8/C7*20+0.9)/20</f>
        <v>0.5</v>
      </c>
      <c r="F8" s="9"/>
      <c r="G8" s="10"/>
      <c r="N8" s="24" t="s">
        <v>49</v>
      </c>
      <c r="R8" t="s">
        <v>41</v>
      </c>
      <c r="S8" s="26" t="s">
        <v>44</v>
      </c>
      <c r="T8">
        <v>0.07</v>
      </c>
    </row>
    <row r="9" spans="1:14" ht="15">
      <c r="A9" s="63" t="s">
        <v>93</v>
      </c>
      <c r="B9" s="3" t="s">
        <v>18</v>
      </c>
      <c r="C9" s="28">
        <v>2</v>
      </c>
      <c r="D9" s="70">
        <f>DEPTH*D8</f>
        <v>3</v>
      </c>
      <c r="F9" s="9"/>
      <c r="G9" s="10"/>
      <c r="H9" s="24"/>
      <c r="I9" s="42" t="s">
        <v>13</v>
      </c>
      <c r="J9" s="43" t="s">
        <v>14</v>
      </c>
      <c r="N9" s="27">
        <v>8.26</v>
      </c>
    </row>
    <row r="10" spans="1:14" ht="13.5" thickBot="1">
      <c r="A10" s="69"/>
      <c r="B10" s="3"/>
      <c r="C10" s="59">
        <f>DEPTH-C9</f>
        <v>4</v>
      </c>
      <c r="D10" s="59"/>
      <c r="F10" s="9"/>
      <c r="G10" s="10"/>
      <c r="I10" s="50">
        <f>INT(I3/I6+0.9)</f>
        <v>108</v>
      </c>
      <c r="J10" s="51">
        <f>INT(J3*I7+0.9)</f>
        <v>1406</v>
      </c>
      <c r="N10" s="24" t="s">
        <v>50</v>
      </c>
    </row>
    <row r="11" spans="2:14" ht="12.75">
      <c r="B11" s="3"/>
      <c r="C11" s="58"/>
      <c r="H11" s="82"/>
      <c r="I11" s="81"/>
      <c r="J11" s="80"/>
      <c r="N11" s="27">
        <v>385</v>
      </c>
    </row>
    <row r="12" spans="2:16" ht="12.75">
      <c r="B12" s="7" t="s">
        <v>100</v>
      </c>
      <c r="C12" s="47">
        <f>(DISP-CARGO)*4.5*WARSHIP_MATERIAL*BOAT_MATERIAL</f>
        <v>71.81331428571428</v>
      </c>
      <c r="D12" s="35">
        <f>DISP*3.2*WARSHIP_MATERIAL*BOAT_MATERIAL</f>
        <v>81.62742857142858</v>
      </c>
      <c r="I12" s="22"/>
      <c r="N12" s="24" t="s">
        <v>52</v>
      </c>
      <c r="P12" s="6" t="s">
        <v>108</v>
      </c>
    </row>
    <row r="13" spans="2:16" ht="12.75">
      <c r="B13" s="34" t="s">
        <v>99</v>
      </c>
      <c r="C13" s="47">
        <f>(DISP-CARGO)*CONSTRUCT*WARSHIP_LABOR*BARGE_LABOR*BOAT_LABOR</f>
        <v>1037.3034285714286</v>
      </c>
      <c r="D13" s="35">
        <f>C13*(CARPENTER/30)</f>
        <v>1210.1873333333335</v>
      </c>
      <c r="I13" s="22"/>
      <c r="N13" s="27">
        <v>0.02</v>
      </c>
      <c r="P13" s="4">
        <f>-0.0008*F25^2+0.3049*F25-3.1045</f>
        <v>7.811683246983261</v>
      </c>
    </row>
    <row r="14" spans="14:16" ht="12.75">
      <c r="N14" s="24" t="s">
        <v>62</v>
      </c>
      <c r="P14" s="6" t="s">
        <v>109</v>
      </c>
    </row>
    <row r="15" spans="2:16" ht="12.75">
      <c r="B15" s="34"/>
      <c r="N15" s="27">
        <v>0.2</v>
      </c>
      <c r="P15" s="4">
        <f>(-0.0027*F25^2+0.2533*F25+1.8)/0.75</f>
        <v>10.149371162326734</v>
      </c>
    </row>
    <row r="16" ht="13.5" thickBot="1">
      <c r="N16" s="24" t="s">
        <v>67</v>
      </c>
    </row>
    <row r="17" spans="4:14" ht="12.75">
      <c r="D17" s="23"/>
      <c r="F17" s="83"/>
      <c r="G17" s="84" t="s">
        <v>20</v>
      </c>
      <c r="H17" s="85"/>
      <c r="I17" s="86" t="s">
        <v>66</v>
      </c>
      <c r="N17" s="27">
        <v>0.8</v>
      </c>
    </row>
    <row r="18" spans="6:14" ht="12.75">
      <c r="F18" s="87" t="str">
        <f>IF(C28="","","Oar")</f>
        <v>Oar</v>
      </c>
      <c r="G18" s="88">
        <f>IF(C28="","",C28*1.76)</f>
        <v>6.042541313368732</v>
      </c>
      <c r="H18" s="89">
        <f>IF(C28="","",C28*0.44)</f>
        <v>1.510635328342183</v>
      </c>
      <c r="I18" s="90">
        <f>IF(H18="","",H18*DISP/D28*ACCEL)</f>
        <v>51.3788655673867</v>
      </c>
      <c r="N18" s="24" t="s">
        <v>68</v>
      </c>
    </row>
    <row r="19" spans="6:14" ht="12.75">
      <c r="F19" s="91" t="str">
        <f>IF(C28="","","(cruise)")</f>
        <v>(cruise)</v>
      </c>
      <c r="G19" s="88">
        <f>IF(C28="","",MAX(C28,E28)*1.76/2)</f>
        <v>3.021270656684366</v>
      </c>
      <c r="H19" s="89">
        <f>IF(C28="","",MAX(C28,E28)*0.44/2)</f>
        <v>0.7553176641710915</v>
      </c>
      <c r="I19" s="90">
        <f>IF(H19="","",H19*DISP/D28*ACCEL)</f>
        <v>25.68943278369335</v>
      </c>
      <c r="J19" s="107">
        <f>IF(C28="","",INT(((C28/2*10)/20*4+0.9))/4)</f>
        <v>1</v>
      </c>
      <c r="K19" s="106">
        <f>IF(C28="","",C28/2)</f>
        <v>1.7166310549342987</v>
      </c>
      <c r="N19" s="54">
        <v>35</v>
      </c>
    </row>
    <row r="20" spans="6:14" ht="12.75">
      <c r="F20" s="87" t="str">
        <f>IF(C22="","","Sail")</f>
        <v>Sail</v>
      </c>
      <c r="G20" s="88">
        <f>IF(C22="","",C22*1.76)</f>
        <v>10.887081603642613</v>
      </c>
      <c r="H20" s="89">
        <f>IF(C22="","",C22*0.44)</f>
        <v>2.7217704009106534</v>
      </c>
      <c r="I20" s="90">
        <f>IF(H20="","",H20*DISP/D22*ACCEL)</f>
        <v>15.428549929733533</v>
      </c>
      <c r="J20" s="107">
        <f>IF(C22="","",INT((C22/2*10)/20*4+0.9)/4)</f>
        <v>1.75</v>
      </c>
      <c r="K20" s="106">
        <f>IF(C22="","",C22/2)</f>
        <v>3.092920910125742</v>
      </c>
      <c r="N20" s="24" t="s">
        <v>69</v>
      </c>
    </row>
    <row r="21" spans="6:14" ht="12.75">
      <c r="F21" s="92"/>
      <c r="G21" s="93"/>
      <c r="H21" s="93"/>
      <c r="I21" s="94"/>
      <c r="N21" s="27">
        <f>1/0.87</f>
        <v>1.1494252873563218</v>
      </c>
    </row>
    <row r="22" spans="2:14" ht="12.75">
      <c r="B22" s="7" t="s">
        <v>51</v>
      </c>
      <c r="C22" s="30">
        <f>IF(C23="","",MIN((AMIRALITY*C23*WIND/DISP^(2/3))^0.3333*MPH*BARGE_SPEED,F5+0.01))</f>
        <v>6.185841820251484</v>
      </c>
      <c r="D22" s="44">
        <f>IF(C23="","",C23*WIND)</f>
        <v>3.6</v>
      </c>
      <c r="E22" s="105">
        <f>IF(C23="","",(AMIRALITY*C23*WIND/DISP^(2/3))^0.3333*MPH*BARGE_SPEED)</f>
        <v>6.238278686142417</v>
      </c>
      <c r="F22" s="92"/>
      <c r="G22" s="93"/>
      <c r="H22" s="93"/>
      <c r="I22" s="94"/>
      <c r="N22" s="24" t="s">
        <v>101</v>
      </c>
    </row>
    <row r="23" spans="1:14" ht="12.75">
      <c r="A23" s="63" t="s">
        <v>84</v>
      </c>
      <c r="B23" s="7" t="s">
        <v>59</v>
      </c>
      <c r="C23" s="29">
        <v>180</v>
      </c>
      <c r="E23" s="14"/>
      <c r="F23" s="92"/>
      <c r="G23" s="95"/>
      <c r="H23" s="93"/>
      <c r="I23" s="94"/>
      <c r="N23" s="27">
        <v>65</v>
      </c>
    </row>
    <row r="24" spans="2:9" ht="12.75">
      <c r="B24" s="7" t="s">
        <v>70</v>
      </c>
      <c r="C24" s="56">
        <f>IF(C23="","",C23/(DISP*2240/64)^0.667)</f>
        <v>1.9369547093051651</v>
      </c>
      <c r="D24" s="57">
        <f>IF(C23="","",IF(C24&gt;15,"Too much sail for Fomorian ships",IF(C24&gt;10,"Too much Sail","")))</f>
      </c>
      <c r="E24" s="14"/>
      <c r="F24" s="96" t="s">
        <v>28</v>
      </c>
      <c r="G24" s="93"/>
      <c r="H24" s="93"/>
      <c r="I24" s="97"/>
    </row>
    <row r="25" spans="2:9" ht="15">
      <c r="B25" s="7" t="s">
        <v>60</v>
      </c>
      <c r="C25" s="4">
        <f>IF(C23="","",INT(C23/(BEAM^2*6)+0.9))</f>
        <v>1</v>
      </c>
      <c r="D25" s="14">
        <f>IF(C23="","",C23/400*C25)</f>
        <v>0.45</v>
      </c>
      <c r="E25" s="5">
        <f>IF(C22="","",D25*CONSTRUCT*CARPENTER/30)</f>
        <v>34.125</v>
      </c>
      <c r="F25" s="98">
        <f>SQRT(DISP)*0.24*33</f>
        <v>40.000760678481385</v>
      </c>
      <c r="G25" s="93"/>
      <c r="H25" s="93"/>
      <c r="I25" s="99" t="s">
        <v>56</v>
      </c>
    </row>
    <row r="26" spans="2:9" ht="12.75">
      <c r="B26" s="7" t="s">
        <v>54</v>
      </c>
      <c r="C26" s="4">
        <f>IF(C23="","",INT((LENGTH/10+C25*BEAM/4)*BOAT_SAIL))</f>
        <v>6</v>
      </c>
      <c r="D26" s="103" t="s">
        <v>107</v>
      </c>
      <c r="E26" s="14"/>
      <c r="F26" s="96" t="s">
        <v>94</v>
      </c>
      <c r="G26" s="93"/>
      <c r="H26" s="93"/>
      <c r="I26" s="100">
        <f>D36-D55</f>
        <v>9.550057142857142</v>
      </c>
    </row>
    <row r="27" spans="6:9" ht="12.75">
      <c r="F27" s="98">
        <f>IF(C3="Yes",C9*D7*24,C9*D7*48)*BOAT_SEAWORTHY</f>
        <v>38.400000000000006</v>
      </c>
      <c r="G27" s="93"/>
      <c r="H27" s="93"/>
      <c r="I27" s="94"/>
    </row>
    <row r="28" spans="2:9" ht="12.75">
      <c r="B28" s="7" t="s">
        <v>61</v>
      </c>
      <c r="C28" s="30">
        <f>IF(C29="","",MIN((AMIRALITY*D28/DISP^(2/3))^0.3333*MPH*BARGE_SPEED,F5+0.01))</f>
        <v>3.4332621098685974</v>
      </c>
      <c r="D28" s="44">
        <f>IF(C29="","",C29*OAR)</f>
        <v>0.6000000000000001</v>
      </c>
      <c r="E28" s="105">
        <f>IF(C29="","",(AMIRALITY*D28/DISP^(2/3))^0.3333*MPH*BARGE_SPEED)</f>
        <v>3.4332621098685974</v>
      </c>
      <c r="F28" s="96" t="s">
        <v>106</v>
      </c>
      <c r="G28" s="93"/>
      <c r="H28" s="93"/>
      <c r="I28" s="94"/>
    </row>
    <row r="29" spans="1:9" ht="13.5" thickBot="1">
      <c r="A29" s="63" t="s">
        <v>85</v>
      </c>
      <c r="B29" s="7" t="s">
        <v>53</v>
      </c>
      <c r="C29" s="31">
        <v>3</v>
      </c>
      <c r="D29" s="103" t="s">
        <v>103</v>
      </c>
      <c r="E29" s="14"/>
      <c r="F29" s="101">
        <f>IF(C4="Yes",BS,WS)*SHIP_QUALITY</f>
        <v>5.858762435237446</v>
      </c>
      <c r="G29" s="46"/>
      <c r="H29" s="46"/>
      <c r="I29" s="102"/>
    </row>
    <row r="30" spans="1:5" ht="12.75">
      <c r="A30"/>
      <c r="B30" s="7" t="s">
        <v>63</v>
      </c>
      <c r="C30" s="64">
        <f>IF(C28="","",INT(LENGTH/3.3333))</f>
        <v>9</v>
      </c>
      <c r="D30" s="14"/>
      <c r="E30" s="14"/>
    </row>
    <row r="31" ht="12.75"/>
    <row r="32" spans="1:3" ht="12.75">
      <c r="A32" s="63" t="s">
        <v>86</v>
      </c>
      <c r="B32" s="7" t="s">
        <v>55</v>
      </c>
      <c r="C32" s="31"/>
    </row>
    <row r="33" spans="1:3" ht="12.75">
      <c r="A33" s="63" t="s">
        <v>87</v>
      </c>
      <c r="B33" s="7" t="s">
        <v>74</v>
      </c>
      <c r="C33" s="31"/>
    </row>
    <row r="34" spans="2:8" ht="12.75">
      <c r="B34" s="7"/>
      <c r="H34" s="7"/>
    </row>
    <row r="35" spans="6:8" ht="12.75">
      <c r="F35" s="4"/>
      <c r="H35" s="3"/>
    </row>
    <row r="36" spans="3:4" ht="15">
      <c r="C36" s="66" t="s">
        <v>75</v>
      </c>
      <c r="D36" s="65">
        <f>DISP*0.6</f>
        <v>15.305142857142856</v>
      </c>
    </row>
    <row r="37" ht="12.75"/>
    <row r="38" spans="2:6" ht="12.75">
      <c r="B38" s="11" t="s">
        <v>23</v>
      </c>
      <c r="C38" s="6" t="s">
        <v>24</v>
      </c>
      <c r="D38" s="12" t="s">
        <v>48</v>
      </c>
      <c r="E38" s="6" t="s">
        <v>21</v>
      </c>
      <c r="F38" s="6" t="s">
        <v>22</v>
      </c>
    </row>
    <row r="39" spans="1:7" ht="12.75">
      <c r="A39" s="63" t="s">
        <v>81</v>
      </c>
      <c r="B39" s="17" t="s">
        <v>77</v>
      </c>
      <c r="C39" s="31">
        <v>3</v>
      </c>
      <c r="D39" s="15">
        <f>C39*0.25*BOAT_OARS</f>
        <v>0.75</v>
      </c>
      <c r="E39" s="13">
        <f>D39*2</f>
        <v>1.5</v>
      </c>
      <c r="F39" s="5">
        <f>E39/30*CARPENTER</f>
        <v>1.75</v>
      </c>
      <c r="G39" s="32" t="str">
        <f>"~"&amp;SUM(C29)</f>
        <v>~3</v>
      </c>
    </row>
    <row r="40" spans="1:7" ht="12.75">
      <c r="A40" s="63" t="s">
        <v>88</v>
      </c>
      <c r="B40" s="16" t="s">
        <v>76</v>
      </c>
      <c r="C40" s="31"/>
      <c r="D40" s="15">
        <f>C40*0.5</f>
        <v>0</v>
      </c>
      <c r="E40" s="13">
        <f>D40*8</f>
        <v>0</v>
      </c>
      <c r="F40" s="5">
        <f>E40/30*CARPENTER</f>
        <v>0</v>
      </c>
      <c r="G40" s="32" t="str">
        <f>"~"&amp;SUM(C29,C26,C32)&amp;" needed if long-term"</f>
        <v>~9 needed if long-term</v>
      </c>
    </row>
    <row r="41" spans="1:7" ht="12.75">
      <c r="A41" s="63" t="s">
        <v>89</v>
      </c>
      <c r="B41" s="17" t="s">
        <v>65</v>
      </c>
      <c r="C41" s="31"/>
      <c r="D41" s="15">
        <f>C41*1</f>
        <v>0</v>
      </c>
      <c r="E41" s="13">
        <f>C41*8</f>
        <v>0</v>
      </c>
      <c r="F41" s="5">
        <f>E41/30*CARPENTER</f>
        <v>0</v>
      </c>
      <c r="G41" s="32" t="str">
        <f>"~"&amp;SUM(C33)&amp;" needed if long-term"</f>
        <v>~0 needed if long-term</v>
      </c>
    </row>
    <row r="42" spans="1:6" ht="12.75">
      <c r="A42" s="63" t="s">
        <v>90</v>
      </c>
      <c r="B42" s="17" t="s">
        <v>57</v>
      </c>
      <c r="C42" s="31"/>
      <c r="D42" s="15">
        <f>C42*3</f>
        <v>0</v>
      </c>
      <c r="E42" s="13">
        <f>D42*24</f>
        <v>0</v>
      </c>
      <c r="F42" s="5">
        <f>E42/30*CARPENTER</f>
        <v>0</v>
      </c>
    </row>
    <row r="43" spans="1:6" ht="12.75">
      <c r="A43" s="63" t="s">
        <v>91</v>
      </c>
      <c r="B43" s="17" t="s">
        <v>64</v>
      </c>
      <c r="C43" s="31"/>
      <c r="D43" s="15">
        <f>C43*0.25</f>
        <v>0</v>
      </c>
      <c r="E43" s="13">
        <f>D43*7</f>
        <v>0</v>
      </c>
      <c r="F43" s="5">
        <f>E43/30*CARPENTER</f>
        <v>0</v>
      </c>
    </row>
    <row r="45" spans="1:6" ht="12.75">
      <c r="A45" s="63" t="s">
        <v>0</v>
      </c>
      <c r="B45" s="18" t="s">
        <v>78</v>
      </c>
      <c r="C45" s="31"/>
      <c r="D45" s="15">
        <f>IF(C45="",0,C45*(1+(C45-1)/10)+1)</f>
        <v>0</v>
      </c>
      <c r="E45" s="13">
        <f>D45*10</f>
        <v>0</v>
      </c>
      <c r="F45" s="5">
        <f>E45/30*CARPENTER</f>
        <v>0</v>
      </c>
    </row>
    <row r="46" spans="1:9" ht="12.75">
      <c r="A46" s="63" t="s">
        <v>1</v>
      </c>
      <c r="B46" s="18" t="s">
        <v>79</v>
      </c>
      <c r="C46" s="31"/>
      <c r="D46" s="15">
        <f>IF(C46="",0,C46*(1+(C46-1)/10)+1)</f>
        <v>0</v>
      </c>
      <c r="E46" s="13">
        <f>D46*10</f>
        <v>0</v>
      </c>
      <c r="F46" s="5">
        <f>E46/30*CARPENTER*2.5</f>
        <v>0</v>
      </c>
      <c r="I46" s="6"/>
    </row>
    <row r="48" spans="1:7" ht="12.75">
      <c r="A48" s="63" t="s">
        <v>2</v>
      </c>
      <c r="B48" s="16" t="s">
        <v>58</v>
      </c>
      <c r="C48" s="33">
        <v>400</v>
      </c>
      <c r="D48" s="14">
        <f>C48/100</f>
        <v>4</v>
      </c>
      <c r="E48" s="13">
        <f>D48*8</f>
        <v>32</v>
      </c>
      <c r="F48" s="5">
        <f>E48/30*CARPENTER</f>
        <v>37.333333333333336</v>
      </c>
      <c r="G48" s="32" t="str">
        <f>"~"&amp;INT(C48/SUM(C26,C29,C32,C33,0.01))&amp;" man-days"</f>
        <v>~44 man-days</v>
      </c>
    </row>
    <row r="49" spans="1:7" ht="12.75">
      <c r="A49" s="63" t="s">
        <v>3</v>
      </c>
      <c r="B49" s="16" t="s">
        <v>80</v>
      </c>
      <c r="C49" s="31">
        <v>3</v>
      </c>
      <c r="D49" s="14">
        <f>C49*0.1</f>
        <v>0.30000000000000004</v>
      </c>
      <c r="E49" s="13">
        <f>D49*6</f>
        <v>1.8000000000000003</v>
      </c>
      <c r="F49" s="5">
        <f>E49/30*CARPENTER</f>
        <v>2.1000000000000005</v>
      </c>
      <c r="G49" s="32" t="str">
        <f>INT(DISP/10*IF(C2="Yes",2,1)+0.9)&amp;" minimum suggested"</f>
        <v>3 minimum suggested</v>
      </c>
    </row>
    <row r="51" spans="1:10" ht="12.75">
      <c r="A51" s="63" t="s">
        <v>4</v>
      </c>
      <c r="B51" s="19" t="s">
        <v>29</v>
      </c>
      <c r="C51" s="55"/>
      <c r="D51" s="14">
        <f>C51</f>
        <v>0</v>
      </c>
      <c r="E51" s="13">
        <f>C51/4</f>
        <v>0</v>
      </c>
      <c r="F51" s="5">
        <f>E51*2</f>
        <v>0</v>
      </c>
      <c r="J51" s="5"/>
    </row>
    <row r="52" ht="10.5" customHeight="1">
      <c r="C52" s="67" t="s">
        <v>5</v>
      </c>
    </row>
    <row r="53" spans="1:6" ht="12.75">
      <c r="A53" s="63" t="s">
        <v>6</v>
      </c>
      <c r="B53" s="19" t="s">
        <v>33</v>
      </c>
      <c r="C53" s="33"/>
      <c r="D53" s="14">
        <f>C53*0.01*DISP</f>
        <v>0</v>
      </c>
      <c r="E53" s="13">
        <f>D53*10</f>
        <v>0</v>
      </c>
      <c r="F53" s="5">
        <f>E53*2</f>
        <v>0</v>
      </c>
    </row>
    <row r="54" spans="1:7" ht="13.5" thickBot="1">
      <c r="A54" s="63" t="s">
        <v>7</v>
      </c>
      <c r="B54" s="16" t="s">
        <v>32</v>
      </c>
      <c r="C54" s="33">
        <v>1</v>
      </c>
      <c r="D54" s="45">
        <f>C54*0.01*DISP</f>
        <v>0.2550857142857143</v>
      </c>
      <c r="E54" s="46"/>
      <c r="F54" s="68">
        <f>150*D54</f>
        <v>38.26285714285714</v>
      </c>
      <c r="G54" s="32"/>
    </row>
    <row r="55" spans="4:6" ht="12.75">
      <c r="D55" s="25">
        <f>SUM(D39:D54)+SUM(D25)</f>
        <v>5.755085714285714</v>
      </c>
      <c r="E55" s="52">
        <f>SUM(E39:E54)</f>
        <v>35.3</v>
      </c>
      <c r="F55" s="53">
        <f>SUM(F39:F54)+SUM(E25)</f>
        <v>113.57119047619048</v>
      </c>
    </row>
    <row r="58" spans="2:4" ht="12.75">
      <c r="B58" s="19"/>
      <c r="C58" s="20"/>
      <c r="D58" s="14"/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I5:J5"/>
  </mergeCells>
  <conditionalFormatting sqref="F8:F10">
    <cfRule type="cellIs" priority="1" dxfId="0" operator="lessThan" stopIfTrue="1">
      <formula>0</formula>
    </cfRule>
  </conditionalFormatting>
  <conditionalFormatting sqref="I26">
    <cfRule type="cellIs" priority="2" dxfId="1" operator="lessThan" stopIfTrue="1">
      <formula>0</formula>
    </cfRule>
  </conditionalFormatting>
  <conditionalFormatting sqref="C4">
    <cfRule type="expression" priority="3" dxfId="1" stopIfTrue="1">
      <formula>IF($C$4="Yes",IF($C$6&gt;25,1,0),0)</formula>
    </cfRule>
  </conditionalFormatting>
  <conditionalFormatting sqref="C10">
    <cfRule type="cellIs" priority="4" dxfId="1" operator="lessThan" stopIfTrue="1">
      <formula>$C$8*0.1</formula>
    </cfRule>
  </conditionalFormatting>
  <conditionalFormatting sqref="C22 C28">
    <cfRule type="cellIs" priority="5" dxfId="2" operator="equal" stopIfTrue="1">
      <formula>""</formula>
    </cfRule>
    <cfRule type="cellIs" priority="6" dxfId="1" operator="greaterThan" stopIfTrue="1">
      <formula>$F$5</formula>
    </cfRule>
  </conditionalFormatting>
  <conditionalFormatting sqref="C24">
    <cfRule type="cellIs" priority="7" dxfId="2" operator="equal" stopIfTrue="1">
      <formula>""</formula>
    </cfRule>
    <cfRule type="cellIs" priority="8" dxfId="1" operator="greaterThan" stopIfTrue="1">
      <formula>15</formula>
    </cfRule>
    <cfRule type="cellIs" priority="9" dxfId="3" operator="greaterThan" stopIfTrue="1">
      <formula>10</formula>
    </cfRule>
  </conditionalFormatting>
  <dataValidations count="1">
    <dataValidation type="list" allowBlank="1" showInputMessage="1" showErrorMessage="1" sqref="C2:C4">
      <formula1>$P$2:$P$3</formula1>
    </dataValidation>
  </dataValidations>
  <printOptions/>
  <pageMargins left="0.75" right="0.75" top="1" bottom="1" header="0.5" footer="0.5"/>
  <pageSetup horizontalDpi="300" verticalDpi="300" orientation="portrait"/>
  <ignoredErrors>
    <ignoredError sqref="E41 C25:D25 D22 D40:D42" emptyCellReferenc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"/>
  <sheetViews>
    <sheetView zoomScale="125" zoomScaleNormal="125" workbookViewId="0" topLeftCell="A1">
      <selection activeCell="F4" sqref="F4"/>
    </sheetView>
  </sheetViews>
  <sheetFormatPr defaultColWidth="11.00390625" defaultRowHeight="12.75"/>
  <cols>
    <col min="1" max="1" width="12.25390625" style="0" customWidth="1"/>
    <col min="2" max="2" width="9.875" style="0" customWidth="1"/>
    <col min="3" max="5" width="11.00390625" style="0" customWidth="1"/>
    <col min="6" max="6" width="11.75390625" style="0" customWidth="1"/>
  </cols>
  <sheetData>
    <row r="2" spans="1:15" ht="12.75">
      <c r="A2">
        <v>5</v>
      </c>
      <c r="B2">
        <v>3</v>
      </c>
      <c r="N2" t="s">
        <v>45</v>
      </c>
      <c r="O2">
        <v>1.8</v>
      </c>
    </row>
    <row r="3" spans="1:15" ht="12.75">
      <c r="A3">
        <v>15</v>
      </c>
      <c r="B3">
        <v>5</v>
      </c>
      <c r="N3" t="s">
        <v>46</v>
      </c>
      <c r="O3">
        <f>O2*3.26</f>
        <v>5.867999999999999</v>
      </c>
    </row>
    <row r="4" spans="1:6" ht="12.75">
      <c r="A4">
        <v>30</v>
      </c>
      <c r="B4">
        <v>7</v>
      </c>
      <c r="E4">
        <v>80</v>
      </c>
      <c r="F4">
        <f>-0.0027*E4^2+0.2533*E4+1.8</f>
        <v>4.784000000000002</v>
      </c>
    </row>
  </sheetData>
  <conditionalFormatting sqref="F45:F46">
    <cfRule type="cellIs" priority="1" dxfId="1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Burton Choinski</dc:creator>
  <cp:keywords/>
  <dc:description/>
  <cp:lastModifiedBy>Burton Choinski</cp:lastModifiedBy>
  <dcterms:created xsi:type="dcterms:W3CDTF">2007-12-27T01:44:44Z</dcterms:created>
  <dcterms:modified xsi:type="dcterms:W3CDTF">2007-12-28T20:32:52Z</dcterms:modified>
  <cp:category/>
  <cp:version/>
  <cp:contentType/>
  <cp:contentStatus/>
</cp:coreProperties>
</file>